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a.sharepoint.com/sites/medical-policy-team/policy-development/Visual system/"/>
    </mc:Choice>
  </mc:AlternateContent>
  <xr:revisionPtr revIDLastSave="1" documentId="8_{998A0FDC-40D1-4195-99DA-AEF9F6DD89C5}" xr6:coauthVersionLast="47" xr6:coauthVersionMax="47" xr10:uidLastSave="{F890AEFF-2474-48E1-9143-5E312C5B9FA2}"/>
  <bookViews>
    <workbookView xWindow="2660" yWindow="2660" windowWidth="14400" windowHeight="8260" activeTab="1" xr2:uid="{3A01997A-CB75-4262-AA1B-0932BA45C164}"/>
  </bookViews>
  <sheets>
    <sheet name="Part 1 prescription calc" sheetId="3" r:id="rId1"/>
    <sheet name="Part 2 vision limitation calc" sheetId="1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3" l="1"/>
  <c r="A38" i="3"/>
  <c r="I21" i="3"/>
  <c r="A21" i="3"/>
  <c r="I20" i="3"/>
  <c r="A20" i="3"/>
  <c r="J7" i="3"/>
  <c r="H7" i="3"/>
  <c r="G7" i="3"/>
  <c r="G9" i="3" s="1"/>
  <c r="J6" i="3"/>
  <c r="H6" i="3"/>
  <c r="G6" i="3"/>
  <c r="G8" i="3" s="1"/>
  <c r="G19" i="1"/>
  <c r="G15" i="1"/>
  <c r="G18" i="1"/>
  <c r="G17" i="1"/>
  <c r="G16" i="1"/>
  <c r="A17" i="1"/>
  <c r="D17" i="1"/>
  <c r="D16" i="1"/>
  <c r="D18" i="1"/>
  <c r="D15" i="1"/>
  <c r="A18" i="1"/>
  <c r="A16" i="1"/>
  <c r="A15" i="1"/>
  <c r="I27" i="3" l="1"/>
  <c r="A27" i="3"/>
  <c r="I6" i="3"/>
  <c r="I19" i="3" s="1"/>
  <c r="A17" i="3"/>
  <c r="I17" i="3"/>
  <c r="A18" i="3"/>
  <c r="I18" i="3"/>
  <c r="A33" i="3"/>
  <c r="A15" i="3"/>
  <c r="I33" i="3"/>
  <c r="A16" i="3"/>
  <c r="I16" i="3"/>
  <c r="I15" i="3"/>
  <c r="A34" i="3"/>
  <c r="I34" i="3"/>
  <c r="G14" i="1"/>
  <c r="D14" i="1"/>
  <c r="A14" i="1"/>
  <c r="I35" i="3" l="1"/>
  <c r="A28" i="3"/>
  <c r="I28" i="3"/>
  <c r="A22" i="3"/>
  <c r="I22" i="3"/>
  <c r="A19" i="3"/>
  <c r="A14" i="3" s="1"/>
  <c r="A23" i="3"/>
  <c r="I26" i="3"/>
  <c r="I14" i="3"/>
  <c r="I13" i="3"/>
  <c r="A35" i="3"/>
  <c r="A26" i="3"/>
  <c r="I36" i="3" l="1"/>
  <c r="A13" i="3"/>
  <c r="I40" i="3"/>
  <c r="I41" i="3" s="1"/>
  <c r="A36" i="3"/>
  <c r="I44" i="3" l="1"/>
  <c r="I37" i="3"/>
  <c r="I39" i="3"/>
  <c r="I42" i="3" s="1"/>
  <c r="I43" i="3" s="1"/>
  <c r="A37" i="3"/>
  <c r="A40" i="3" s="1"/>
  <c r="A39" i="3" l="1"/>
  <c r="A42" i="3"/>
  <c r="A43" i="3" s="1"/>
  <c r="A41" i="3"/>
</calcChain>
</file>

<file path=xl/sharedStrings.xml><?xml version="1.0" encoding="utf-8"?>
<sst xmlns="http://schemas.openxmlformats.org/spreadsheetml/2006/main" count="46" uniqueCount="31">
  <si>
    <t>Unaided distance visions</t>
  </si>
  <si>
    <t>Right</t>
  </si>
  <si>
    <t>Left</t>
  </si>
  <si>
    <t>Binocular</t>
  </si>
  <si>
    <t>6/</t>
  </si>
  <si>
    <t>Meets int std unaided?</t>
  </si>
  <si>
    <t>Meets nr std unaided?</t>
  </si>
  <si>
    <t>Requires reading addition/multifocal specs?</t>
  </si>
  <si>
    <t>Yes</t>
  </si>
  <si>
    <t>No</t>
  </si>
  <si>
    <t xml:space="preserve">Contact lens wearer? </t>
  </si>
  <si>
    <t>Class 1</t>
  </si>
  <si>
    <t>Class 2</t>
  </si>
  <si>
    <t>Class 3</t>
  </si>
  <si>
    <t>Ensure refraction / spectacle prescription meets standards</t>
  </si>
  <si>
    <t xml:space="preserve">Spectacle Limitation Calculator </t>
  </si>
  <si>
    <t>(assumes vision standards met with correction)</t>
  </si>
  <si>
    <t>SPECTACLE PRESCRIPTION CALCULATOR</t>
  </si>
  <si>
    <t>Enter prescription below:</t>
  </si>
  <si>
    <t>Name</t>
  </si>
  <si>
    <t>SPHERE</t>
  </si>
  <si>
    <t>CYLINDER</t>
  </si>
  <si>
    <t>AXIS</t>
  </si>
  <si>
    <t>CAA Ref</t>
  </si>
  <si>
    <t>RIGHT</t>
  </si>
  <si>
    <t>LEFT</t>
  </si>
  <si>
    <t>Initial</t>
  </si>
  <si>
    <t>ok</t>
  </si>
  <si>
    <r>
      <t>Note</t>
    </r>
    <r>
      <rPr>
        <sz val="10"/>
        <rFont val="Arial"/>
        <family val="2"/>
      </rPr>
      <t>: If one or both eyes register borderline, invite for medical assessment but warn borderline refraction</t>
    </r>
  </si>
  <si>
    <t>ANY Class 1 or 3 'excess limit' prompt - request visual acuities for right &amp; left eyes.</t>
  </si>
  <si>
    <t>Revalidation/Renewal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</si>
</sst>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0;\-0.00"/>
    <numFmt numFmtId="165" formatCode=";;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left"/>
    </xf>
    <xf numFmtId="0" fontId="2" fillId="3" borderId="0" xfId="0" applyFont="1" applyFill="1"/>
    <xf numFmtId="0" fontId="0" fillId="0" borderId="0" xfId="0" applyFill="1"/>
    <xf numFmtId="0" fontId="3" fillId="2" borderId="0" xfId="0" applyFont="1" applyFill="1"/>
    <xf numFmtId="0" fontId="0" fillId="4" borderId="0" xfId="0" applyFill="1"/>
    <xf numFmtId="0" fontId="4" fillId="4" borderId="0" xfId="0" applyFont="1" applyFill="1"/>
    <xf numFmtId="2" fontId="4" fillId="4" borderId="0" xfId="0" applyNumberFormat="1" applyFont="1" applyFill="1"/>
    <xf numFmtId="17" fontId="5" fillId="4" borderId="0" xfId="0" applyNumberFormat="1" applyFont="1" applyFill="1"/>
    <xf numFmtId="2" fontId="0" fillId="4" borderId="0" xfId="0" applyNumberFormat="1" applyFill="1"/>
    <xf numFmtId="0" fontId="5" fillId="4" borderId="0" xfId="0" applyFont="1" applyFill="1"/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2" fontId="5" fillId="4" borderId="4" xfId="0" applyNumberFormat="1" applyFont="1" applyFill="1" applyBorder="1"/>
    <xf numFmtId="0" fontId="5" fillId="4" borderId="4" xfId="0" applyFont="1" applyFill="1" applyBorder="1"/>
    <xf numFmtId="164" fontId="2" fillId="5" borderId="4" xfId="0" applyNumberFormat="1" applyFont="1" applyFill="1" applyBorder="1" applyProtection="1">
      <protection locked="0"/>
    </xf>
    <xf numFmtId="0" fontId="2" fillId="5" borderId="4" xfId="0" applyFont="1" applyFill="1" applyBorder="1" applyProtection="1">
      <protection locked="0"/>
    </xf>
    <xf numFmtId="165" fontId="0" fillId="4" borderId="0" xfId="0" applyNumberFormat="1" applyFill="1"/>
    <xf numFmtId="0" fontId="0" fillId="4" borderId="5" xfId="0" applyFill="1" applyBorder="1"/>
    <xf numFmtId="2" fontId="0" fillId="4" borderId="5" xfId="0" applyNumberFormat="1" applyFill="1" applyBorder="1"/>
    <xf numFmtId="2" fontId="5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F75DA-2D59-4660-868E-E228A294E955}">
  <dimension ref="A1:O44"/>
  <sheetViews>
    <sheetView workbookViewId="0">
      <selection activeCell="Q9" sqref="Q9"/>
    </sheetView>
  </sheetViews>
  <sheetFormatPr defaultRowHeight="14.5" x14ac:dyDescent="0.35"/>
  <sheetData>
    <row r="1" spans="1:15" ht="15.5" x14ac:dyDescent="0.35">
      <c r="A1" s="11"/>
      <c r="B1" s="12" t="s">
        <v>17</v>
      </c>
      <c r="C1" s="13"/>
      <c r="D1" s="13"/>
      <c r="E1" s="12"/>
      <c r="F1" s="12"/>
      <c r="G1" s="12"/>
      <c r="H1" s="11"/>
      <c r="I1" s="11"/>
      <c r="J1" s="14">
        <v>45536</v>
      </c>
      <c r="K1" s="11"/>
      <c r="L1" s="11"/>
      <c r="M1" s="11"/>
      <c r="N1" s="11"/>
      <c r="O1" s="11"/>
    </row>
    <row r="2" spans="1:15" x14ac:dyDescent="0.35">
      <c r="A2" s="11"/>
      <c r="B2" s="11"/>
      <c r="C2" s="15"/>
      <c r="D2" s="1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35">
      <c r="A3" s="11"/>
      <c r="B3" s="11" t="s">
        <v>18</v>
      </c>
      <c r="C3" s="15"/>
      <c r="D3" s="15"/>
      <c r="E3" s="11"/>
      <c r="F3" s="11"/>
      <c r="G3" s="16" t="s">
        <v>19</v>
      </c>
      <c r="H3" s="17"/>
      <c r="I3" s="18"/>
      <c r="J3" s="19"/>
      <c r="K3" s="11"/>
      <c r="L3" s="11"/>
      <c r="M3" s="11"/>
      <c r="N3" s="11"/>
      <c r="O3" s="11"/>
    </row>
    <row r="4" spans="1:15" x14ac:dyDescent="0.35">
      <c r="A4" s="11"/>
      <c r="B4" s="11"/>
      <c r="C4" s="15"/>
      <c r="D4" s="1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35">
      <c r="A5" s="11"/>
      <c r="B5" s="11"/>
      <c r="C5" s="20" t="s">
        <v>20</v>
      </c>
      <c r="D5" s="20" t="s">
        <v>21</v>
      </c>
      <c r="E5" s="21" t="s">
        <v>22</v>
      </c>
      <c r="F5" s="11"/>
      <c r="G5" s="16" t="s">
        <v>23</v>
      </c>
      <c r="H5" s="17"/>
      <c r="I5" s="19"/>
      <c r="J5" s="11"/>
      <c r="K5" s="11"/>
      <c r="L5" s="11"/>
      <c r="M5" s="11"/>
      <c r="N5" s="11"/>
      <c r="O5" s="11"/>
    </row>
    <row r="6" spans="1:15" x14ac:dyDescent="0.35">
      <c r="A6" s="11"/>
      <c r="B6" s="21" t="s">
        <v>24</v>
      </c>
      <c r="C6" s="22"/>
      <c r="D6" s="22"/>
      <c r="E6" s="23"/>
      <c r="F6" s="11"/>
      <c r="G6" s="24">
        <f>C6+D6</f>
        <v>0</v>
      </c>
      <c r="H6" s="24">
        <f>C6+(D6/2)</f>
        <v>0</v>
      </c>
      <c r="I6" s="24">
        <f>ABS(H6-H7)</f>
        <v>0</v>
      </c>
      <c r="J6" s="24">
        <f>ABS(D6)</f>
        <v>0</v>
      </c>
      <c r="K6" s="11"/>
      <c r="L6" s="11"/>
      <c r="M6" s="11"/>
      <c r="N6" s="11"/>
      <c r="O6" s="11"/>
    </row>
    <row r="7" spans="1:15" x14ac:dyDescent="0.35">
      <c r="A7" s="11"/>
      <c r="B7" s="21" t="s">
        <v>25</v>
      </c>
      <c r="C7" s="22"/>
      <c r="D7" s="22"/>
      <c r="E7" s="23"/>
      <c r="F7" s="11"/>
      <c r="G7" s="24">
        <f>C7+D7</f>
        <v>0</v>
      </c>
      <c r="H7" s="24">
        <f>C7+(D7/2)</f>
        <v>0</v>
      </c>
      <c r="I7" s="24"/>
      <c r="J7" s="24">
        <f>ABS(D7)</f>
        <v>0</v>
      </c>
      <c r="K7" s="11"/>
      <c r="L7" s="11"/>
      <c r="M7" s="11"/>
      <c r="N7" s="11"/>
      <c r="O7" s="11"/>
    </row>
    <row r="8" spans="1:15" x14ac:dyDescent="0.35">
      <c r="A8" s="11"/>
      <c r="B8" s="11"/>
      <c r="C8" s="15"/>
      <c r="D8" s="15"/>
      <c r="E8" s="11"/>
      <c r="F8" s="11"/>
      <c r="G8" s="24">
        <f>IF(ABS(C6)&gt;(ABS(G6)),C6,G6)</f>
        <v>0</v>
      </c>
      <c r="H8" s="24"/>
      <c r="I8" s="24"/>
      <c r="J8" s="11"/>
      <c r="K8" s="11"/>
      <c r="L8" s="11"/>
      <c r="M8" s="11"/>
      <c r="N8" s="11"/>
      <c r="O8" s="11"/>
    </row>
    <row r="9" spans="1:15" x14ac:dyDescent="0.35">
      <c r="A9" s="11"/>
      <c r="B9" s="11"/>
      <c r="C9" s="15"/>
      <c r="D9" s="15"/>
      <c r="E9" s="11"/>
      <c r="F9" s="11"/>
      <c r="G9" s="24">
        <f>IF(ABS(C7)&gt;(ABS(G7)),C7,G7)</f>
        <v>0</v>
      </c>
      <c r="H9" s="24"/>
      <c r="I9" s="24"/>
      <c r="J9" s="11"/>
      <c r="K9" s="11"/>
      <c r="L9" s="11"/>
      <c r="M9" s="11"/>
      <c r="N9" s="11"/>
      <c r="O9" s="11"/>
    </row>
    <row r="10" spans="1:15" x14ac:dyDescent="0.35">
      <c r="A10" s="11"/>
      <c r="B10" s="11"/>
      <c r="C10" s="15"/>
      <c r="D10" s="15"/>
      <c r="E10" s="11"/>
      <c r="F10" s="11"/>
      <c r="G10" s="15"/>
      <c r="H10" s="11"/>
      <c r="I10" s="11"/>
      <c r="J10" s="11"/>
      <c r="K10" s="11"/>
      <c r="L10" s="11"/>
      <c r="M10" s="11"/>
      <c r="N10" s="11"/>
      <c r="O10" s="11"/>
    </row>
    <row r="11" spans="1:15" x14ac:dyDescent="0.35">
      <c r="A11" s="16" t="s">
        <v>11</v>
      </c>
      <c r="B11" s="11"/>
      <c r="C11" s="15"/>
      <c r="D11" s="15"/>
      <c r="E11" s="16" t="s">
        <v>12</v>
      </c>
      <c r="F11" s="11"/>
      <c r="G11" s="11"/>
      <c r="H11" s="11"/>
      <c r="I11" s="16" t="s">
        <v>13</v>
      </c>
      <c r="J11" s="11"/>
      <c r="K11" s="11"/>
      <c r="L11" s="11"/>
      <c r="M11" s="11"/>
      <c r="N11" s="11"/>
      <c r="O11" s="11"/>
    </row>
    <row r="12" spans="1:15" x14ac:dyDescent="0.35">
      <c r="A12" s="16" t="s">
        <v>26</v>
      </c>
      <c r="B12" s="16"/>
      <c r="C12" s="16"/>
      <c r="D12" s="15"/>
      <c r="E12" s="16" t="s">
        <v>26</v>
      </c>
      <c r="F12" s="11"/>
      <c r="G12" s="11"/>
      <c r="H12" s="11"/>
      <c r="I12" s="16" t="s">
        <v>26</v>
      </c>
      <c r="J12" s="11"/>
      <c r="K12" s="11"/>
      <c r="L12" s="11"/>
      <c r="M12" s="11"/>
      <c r="N12" s="11"/>
      <c r="O12" s="11"/>
    </row>
    <row r="13" spans="1:15" x14ac:dyDescent="0.35">
      <c r="A13" s="15" t="str">
        <f>IF(AND(OR(A15="",A15="borderline myopia RE"),OR(A16="",A16="borderline hypermetropia RE"),OR(A17="",A17="borderline myopia LE"),OR(A18="",A18="borderline hypermetropia LE"),OR(A19="",A19="borderline anisometropia"),OR(A20="",A20="borderline astigmatism RE"),OR(A21="",A21="borderline astigmatism LE")),"ok","Complete additional tests - see below")</f>
        <v>ok</v>
      </c>
      <c r="B13" s="15"/>
      <c r="C13" s="11"/>
      <c r="D13" s="15"/>
      <c r="E13" s="15" t="s">
        <v>27</v>
      </c>
      <c r="F13" s="11"/>
      <c r="G13" s="11"/>
      <c r="H13" s="15"/>
      <c r="I13" s="15" t="str">
        <f>IF(AND(OR(I15="",I15="borderline myopia RE"),OR(I16="",I16="borderline hypermetropia RE"),OR(I17="",I17="borderline myopia LE"),OR(I18="",I18="borderline hypermetropia LE"),OR(I19="",I19="borderline anisometropia"),OR(I20="",I20="borderline astigmatism RE"),OR(I21="",I21="borderline astigmatism LE")),"ok","Complete additional tests - see below")</f>
        <v>ok</v>
      </c>
      <c r="J13" s="11"/>
      <c r="K13" s="11"/>
      <c r="L13" s="11"/>
      <c r="M13" s="11"/>
      <c r="N13" s="11"/>
      <c r="O13" s="11"/>
    </row>
    <row r="14" spans="1:15" x14ac:dyDescent="0.35">
      <c r="A14" s="15" t="str">
        <f>IF(AND(OR(A15="",A15="borderline myopia RE"),OR(A16="",A16="borderline hypermetropia RE"),OR(A17="",A17="borderline myopia LE"),OR(A18="",A18="borderline hypermetropia LE"),OR(A19="",A19="borderline anisometropia"),OR(A20="",A20="borderline astigmatism RE"),OR(A21="",A21="borderline astigmatism LE")),"","refer to CAA Medical Assessor")</f>
        <v/>
      </c>
      <c r="B14" s="15"/>
      <c r="C14" s="11"/>
      <c r="D14" s="15"/>
      <c r="E14" s="15"/>
      <c r="F14" s="11"/>
      <c r="G14" s="11"/>
      <c r="H14" s="15"/>
      <c r="I14" s="15" t="str">
        <f>IF(AND(OR(I15="",I15="borderline myopia RE"),OR(I16="",I16="borderline hypermetropia RE"),OR(I17="",I17="borderline myopia LE"),OR(I18="",I18="borderline hypermetropia LE"),OR(I19="",I19="borderline anisometropia"),OR(I20="",I20="borderline astigmatism RE"),OR(I21="",I21="borderline astigmatism LE")),"","Refer to CAA Medical Assessor")</f>
        <v/>
      </c>
      <c r="J14" s="11"/>
      <c r="K14" s="11"/>
      <c r="L14" s="11"/>
      <c r="M14" s="11"/>
      <c r="N14" s="11"/>
      <c r="O14" s="11"/>
    </row>
    <row r="15" spans="1:15" x14ac:dyDescent="0.35">
      <c r="A15" s="11" t="str">
        <f>IF(G8&lt;(-6.1),"excess myopia RE",IF(AND(G8&gt;(-6.1),G8&lt;(-5.8)),"borderline myopia RE",""))</f>
        <v/>
      </c>
      <c r="B15" s="11"/>
      <c r="C15" s="11"/>
      <c r="D15" s="15"/>
      <c r="E15" s="11"/>
      <c r="F15" s="11"/>
      <c r="G15" s="11"/>
      <c r="H15" s="11"/>
      <c r="I15" s="11" t="str">
        <f>IF(G8&lt;(-6.1),"excess myopia RE",IF(AND(G8&gt;(-6.1),G8&lt;(-5.5)),"borderline myopia RE",""))</f>
        <v/>
      </c>
      <c r="J15" s="11"/>
      <c r="K15" s="11"/>
      <c r="L15" s="11"/>
      <c r="M15" s="11"/>
      <c r="N15" s="11"/>
      <c r="O15" s="11"/>
    </row>
    <row r="16" spans="1:15" x14ac:dyDescent="0.35">
      <c r="A16" s="11" t="str">
        <f>IF(G8&gt;(5.1),"excess hypermetropia RE",IF(AND(G8&gt;(4.8),G8&lt;(5.1)),"borderline hypermetropia RE",""))</f>
        <v/>
      </c>
      <c r="B16" s="11"/>
      <c r="C16" s="11"/>
      <c r="D16" s="15"/>
      <c r="E16" s="11"/>
      <c r="F16" s="11"/>
      <c r="G16" s="11"/>
      <c r="H16" s="11"/>
      <c r="I16" s="11" t="str">
        <f>IF(G8&gt;(5.1),"excess hypermetropia RE",IF(AND(G8&gt;(4.5),G8&lt;(5.1)),"borderline hypermetropia RE",""))</f>
        <v/>
      </c>
      <c r="J16" s="11"/>
      <c r="K16" s="11"/>
      <c r="L16" s="11"/>
      <c r="M16" s="11"/>
      <c r="N16" s="11"/>
      <c r="O16" s="11"/>
    </row>
    <row r="17" spans="1:15" x14ac:dyDescent="0.35">
      <c r="A17" s="11" t="str">
        <f>IF(G9&lt;(-6.1),"excess myopia LE",IF(AND(G9&gt;(-6.1),G9&lt;(-5.8)),"borderline myopia LE",""))</f>
        <v/>
      </c>
      <c r="B17" s="11"/>
      <c r="C17" s="11"/>
      <c r="D17" s="15"/>
      <c r="E17" s="11"/>
      <c r="F17" s="11"/>
      <c r="G17" s="11"/>
      <c r="H17" s="11"/>
      <c r="I17" s="11" t="str">
        <f>IF(G9&lt;(-6.1),"excess myopia LE",IF(AND(G9&gt;(-6.1),G9&lt;(-5.5)),"borderline myopia LE",""))</f>
        <v/>
      </c>
      <c r="J17" s="11"/>
      <c r="K17" s="11"/>
      <c r="L17" s="11"/>
      <c r="M17" s="11"/>
      <c r="N17" s="11"/>
      <c r="O17" s="11"/>
    </row>
    <row r="18" spans="1:15" x14ac:dyDescent="0.35">
      <c r="A18" s="11" t="str">
        <f>IF(G9&gt;(5.1),"excess hypermetropia LE",IF(AND(G9&gt;(4.8),G9&lt;(5.1)),"borderline hypermetropia LE",""))</f>
        <v/>
      </c>
      <c r="B18" s="11"/>
      <c r="C18" s="11"/>
      <c r="D18" s="15"/>
      <c r="E18" s="11"/>
      <c r="F18" s="11"/>
      <c r="G18" s="11"/>
      <c r="H18" s="11"/>
      <c r="I18" s="11" t="str">
        <f>IF(G9&gt;(5.1),"excess hypermetropia LE",IF(AND(G9&gt;(4.5),G9&lt;(5.1)),"borderline hypermetropia LE",""))</f>
        <v/>
      </c>
      <c r="J18" s="11"/>
      <c r="K18" s="11"/>
      <c r="L18" s="11"/>
      <c r="M18" s="11"/>
      <c r="N18" s="11"/>
      <c r="O18" s="11"/>
    </row>
    <row r="19" spans="1:15" x14ac:dyDescent="0.35">
      <c r="A19" s="11" t="str">
        <f>IF(ABS(I6)&gt;2.1,"excess anisometropia",IF(AND(ABS(I6)&gt;1.8,(ABS(I6)&lt;2.1)),"borderline anisometropia",""))</f>
        <v/>
      </c>
      <c r="B19" s="11"/>
      <c r="C19" s="11"/>
      <c r="D19" s="15"/>
      <c r="E19" s="11"/>
      <c r="F19" s="11"/>
      <c r="G19" s="11"/>
      <c r="H19" s="11"/>
      <c r="I19" s="11" t="str">
        <f>IF(ABS(I6)&gt;3.1,"excess anisometropia",IF(AND(ABS(I6)&gt;2.5,(ABS(I6)&lt;3.1)),"borderline anisometropia",""))</f>
        <v/>
      </c>
      <c r="J19" s="11"/>
      <c r="K19" s="11"/>
      <c r="L19" s="11"/>
      <c r="M19" s="11"/>
      <c r="N19" s="11"/>
      <c r="O19" s="11"/>
    </row>
    <row r="20" spans="1:15" x14ac:dyDescent="0.35">
      <c r="A20" s="15" t="str">
        <f>IF(ABS(D6)&gt;2.1,"excess astigmatism RE",IF(AND(ABS(D6)&gt;1.5,(ABS(D6)&lt;2.1)),"borderline astigmatism RE",""))</f>
        <v/>
      </c>
      <c r="B20" s="15"/>
      <c r="C20" s="11"/>
      <c r="D20" s="15"/>
      <c r="E20" s="15"/>
      <c r="F20" s="11"/>
      <c r="G20" s="11"/>
      <c r="H20" s="15"/>
      <c r="I20" s="15" t="str">
        <f>IF(ABS(D6)&gt;3.1,"excess astigmatism RE",IF(AND(ABS(D6)&gt;2.5,(ABS(D6)&lt;3.1)),"borderline astigmatism RE",""))</f>
        <v/>
      </c>
      <c r="J20" s="11"/>
      <c r="K20" s="11"/>
      <c r="L20" s="11"/>
      <c r="M20" s="11"/>
      <c r="N20" s="11"/>
      <c r="O20" s="11"/>
    </row>
    <row r="21" spans="1:15" x14ac:dyDescent="0.35">
      <c r="A21" s="15" t="str">
        <f>IF(ABS(D7)&gt;2.1,"excess astigmatism LE",IF(AND(ABS(D7)&gt;1.5,(ABS(D7)&lt;2.1)),"borderline astigmatism LE",""))</f>
        <v/>
      </c>
      <c r="B21" s="15"/>
      <c r="C21" s="11"/>
      <c r="D21" s="15"/>
      <c r="E21" s="15"/>
      <c r="F21" s="11"/>
      <c r="G21" s="11"/>
      <c r="H21" s="15"/>
      <c r="I21" s="15" t="str">
        <f>IF(ABS(D7)&gt;3.1,"excess astigmatism LE",IF(AND(ABS(D7)&gt;2.5,(ABS(D7)&lt;3.1)),"borderline astigmatism LE",""))</f>
        <v/>
      </c>
      <c r="J21" s="11"/>
      <c r="K21" s="11"/>
      <c r="L21" s="11"/>
      <c r="M21" s="11"/>
      <c r="N21" s="11"/>
      <c r="O21" s="11"/>
    </row>
    <row r="22" spans="1:15" x14ac:dyDescent="0.35">
      <c r="A22" s="11" t="str">
        <f>IF((ABS(I6)&gt;2),IF((ABS(I6)&lt;3.1),IF(AND(A15="",A16="",A17="",A18="",A20="",A21=""),"6/9 monocularly acceptable",""),""),"")</f>
        <v/>
      </c>
      <c r="B22" s="11"/>
      <c r="C22" s="11"/>
      <c r="D22" s="15"/>
      <c r="E22" s="11"/>
      <c r="F22" s="11"/>
      <c r="G22" s="11"/>
      <c r="H22" s="11"/>
      <c r="I22" s="11" t="str">
        <f>IF(AND(ABS(I6)&gt;2,(ABS(I6)&lt;3.1)),"Ensure 6/6 or better monocularly",IF(ABS(I6)&gt;3.1,"Ensure 6/6 or better monocularly",""))</f>
        <v/>
      </c>
      <c r="J22" s="11"/>
      <c r="K22" s="11"/>
      <c r="L22" s="11"/>
      <c r="M22" s="11"/>
      <c r="N22" s="11"/>
      <c r="O22" s="11"/>
    </row>
    <row r="23" spans="1:15" x14ac:dyDescent="0.35">
      <c r="A23" s="11" t="str">
        <f>IF((ABS(I6)&gt;3.1),IF(AND(A15="",A16="",A17="",A18="",A20="",A21=""),"6/9 monocularly acceptable and contact lenses worn",""),"")</f>
        <v/>
      </c>
      <c r="B23" s="11"/>
      <c r="C23" s="11"/>
      <c r="D23" s="15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35">
      <c r="A24" s="16" t="s">
        <v>28</v>
      </c>
      <c r="B24" s="11"/>
      <c r="C24" s="15"/>
      <c r="D24" s="15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35">
      <c r="A25" s="11" t="s">
        <v>29</v>
      </c>
      <c r="B25" s="11"/>
      <c r="C25" s="15"/>
      <c r="D25" s="15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1" t="str">
        <f>IF(OR(A15="excess myopia RE",A17="excess myopia LE"),"If 6/6 or better monocularly, requires dilated binocular indirect ophth","")</f>
        <v/>
      </c>
      <c r="B26" s="11"/>
      <c r="C26" s="11"/>
      <c r="D26" s="11"/>
      <c r="E26" s="11"/>
      <c r="F26" s="11"/>
      <c r="G26" s="11"/>
      <c r="H26" s="11"/>
      <c r="I26" s="11" t="str">
        <f>IF(OR(I15="excess myopia RE",I17="excess myopia LE"),"If 6/6 or better monocularly, requires dilated binocular indirect ophth","")</f>
        <v/>
      </c>
      <c r="J26" s="11"/>
      <c r="K26" s="11"/>
      <c r="L26" s="11"/>
      <c r="M26" s="11"/>
      <c r="N26" s="11"/>
      <c r="O26" s="11"/>
    </row>
    <row r="27" spans="1:15" x14ac:dyDescent="0.35">
      <c r="A27" s="11" t="str">
        <f>IF(OR(A20="excess astigmatism RE",A21="excess astigmatism LE"),"If 6/6 or better monocularly, requires corneal topography","")</f>
        <v/>
      </c>
      <c r="B27" s="11"/>
      <c r="C27" s="15"/>
      <c r="D27" s="15"/>
      <c r="E27" s="11"/>
      <c r="F27" s="11"/>
      <c r="G27" s="11"/>
      <c r="H27" s="11"/>
      <c r="I27" s="11" t="str">
        <f>IF(OR(I20="excess astigmatism RE",I21="excess astigmatism LE"),"If 6/6 or better monocularly, requires corneal topography","")</f>
        <v/>
      </c>
      <c r="J27" s="11"/>
      <c r="K27" s="11"/>
      <c r="L27" s="11"/>
      <c r="M27" s="11"/>
      <c r="N27" s="11"/>
      <c r="O27" s="11"/>
    </row>
    <row r="28" spans="1:15" x14ac:dyDescent="0.35">
      <c r="A28" s="11" t="str">
        <f>IF(OR(A16="excess hypermetropia RE",A18="excess hypermetropia LE"),"If 6/6 or better monoc, requires ant angle and FR testing, CL to be worn","")</f>
        <v/>
      </c>
      <c r="B28" s="11"/>
      <c r="C28" s="15"/>
      <c r="D28" s="15"/>
      <c r="E28" s="11"/>
      <c r="F28" s="11"/>
      <c r="G28" s="11"/>
      <c r="H28" s="11"/>
      <c r="I28" s="11" t="str">
        <f>IF(OR(I16="excess hypermetropia RE",I18="excess hypermetropia LE"),"If 6/6 or better monoc, requires ant angle and FR testing, CL to be worn","")</f>
        <v/>
      </c>
      <c r="J28" s="11"/>
      <c r="K28" s="11"/>
      <c r="L28" s="11"/>
      <c r="M28" s="11"/>
      <c r="N28" s="11"/>
      <c r="O28" s="11"/>
    </row>
    <row r="29" spans="1:15" ht="15" thickBot="1" x14ac:dyDescent="0.4">
      <c r="A29" s="25"/>
      <c r="B29" s="25"/>
      <c r="C29" s="26"/>
      <c r="D29" s="26"/>
      <c r="E29" s="25"/>
      <c r="F29" s="25"/>
      <c r="G29" s="25"/>
      <c r="H29" s="25"/>
      <c r="I29" s="25"/>
      <c r="J29" s="25"/>
      <c r="K29" s="25"/>
      <c r="L29" s="11"/>
      <c r="M29" s="11"/>
      <c r="N29" s="11"/>
      <c r="O29" s="11"/>
    </row>
    <row r="30" spans="1:15" ht="15" thickTop="1" x14ac:dyDescent="0.35">
      <c r="A30" s="27" t="s">
        <v>11</v>
      </c>
      <c r="B30" s="11"/>
      <c r="C30" s="15"/>
      <c r="D30" s="11"/>
      <c r="E30" s="16" t="s">
        <v>12</v>
      </c>
      <c r="F30" s="11"/>
      <c r="G30" s="11"/>
      <c r="H30" s="11"/>
      <c r="I30" s="27" t="s">
        <v>13</v>
      </c>
      <c r="J30" s="11"/>
      <c r="K30" s="11"/>
      <c r="L30" s="11"/>
      <c r="M30" s="11"/>
      <c r="N30" s="11"/>
      <c r="O30" s="11"/>
    </row>
    <row r="31" spans="1:15" x14ac:dyDescent="0.35">
      <c r="A31" s="16" t="s">
        <v>30</v>
      </c>
      <c r="B31" s="11"/>
      <c r="C31" s="15"/>
      <c r="D31" s="11"/>
      <c r="E31" s="16" t="s">
        <v>30</v>
      </c>
      <c r="F31" s="11"/>
      <c r="G31" s="11"/>
      <c r="H31" s="11"/>
      <c r="I31" s="16" t="s">
        <v>30</v>
      </c>
      <c r="J31" s="11"/>
      <c r="K31" s="11"/>
      <c r="L31" s="11"/>
      <c r="M31" s="11"/>
      <c r="N31" s="11"/>
      <c r="O31" s="11"/>
    </row>
    <row r="32" spans="1:15" x14ac:dyDescent="0.35">
      <c r="A32" s="15" t="s">
        <v>27</v>
      </c>
      <c r="B32" s="11"/>
      <c r="C32" s="15"/>
      <c r="D32" s="11"/>
      <c r="E32" s="15" t="s">
        <v>27</v>
      </c>
      <c r="F32" s="11"/>
      <c r="G32" s="11"/>
      <c r="H32" s="11"/>
      <c r="I32" s="15" t="s">
        <v>27</v>
      </c>
      <c r="J32" s="11"/>
      <c r="K32" s="11"/>
      <c r="L32" s="11"/>
      <c r="M32" s="11"/>
      <c r="N32" s="11"/>
      <c r="O32" s="11"/>
    </row>
    <row r="33" spans="1:15" x14ac:dyDescent="0.35">
      <c r="A33" s="11" t="str">
        <f>IF(G8&lt;(-6),"with 2yr Ophth exam","")</f>
        <v/>
      </c>
      <c r="B33" s="11"/>
      <c r="C33" s="15"/>
      <c r="D33" s="11"/>
      <c r="E33" s="11"/>
      <c r="F33" s="11"/>
      <c r="G33" s="11"/>
      <c r="H33" s="11"/>
      <c r="I33" s="11" t="str">
        <f>IF(G8&lt;(-6),"with 2yr Ophth exam","")</f>
        <v/>
      </c>
      <c r="J33" s="11"/>
      <c r="K33" s="11"/>
      <c r="L33" s="11"/>
      <c r="M33" s="11"/>
      <c r="N33" s="11"/>
      <c r="O33" s="11"/>
    </row>
    <row r="34" spans="1:15" x14ac:dyDescent="0.35">
      <c r="A34" s="11" t="str">
        <f>IF(G8&gt;(5),"with 2yr Ophth exam","")</f>
        <v/>
      </c>
      <c r="B34" s="11"/>
      <c r="C34" s="15"/>
      <c r="D34" s="11"/>
      <c r="E34" s="11"/>
      <c r="F34" s="11"/>
      <c r="G34" s="11"/>
      <c r="H34" s="11"/>
      <c r="I34" s="11" t="str">
        <f>IF(G8&gt;(5),"with 2yr Ophth exam","")</f>
        <v/>
      </c>
      <c r="J34" s="11"/>
      <c r="K34" s="11"/>
      <c r="L34" s="11"/>
      <c r="M34" s="11"/>
      <c r="N34" s="11"/>
      <c r="O34" s="11"/>
    </row>
    <row r="35" spans="1:15" x14ac:dyDescent="0.35">
      <c r="A35" s="11" t="str">
        <f>IF(AND(G9&lt;(-6),A33="",A34=""),"with 2yr Ophth exam","")</f>
        <v/>
      </c>
      <c r="B35" s="11"/>
      <c r="C35" s="15"/>
      <c r="D35" s="11"/>
      <c r="E35" s="11"/>
      <c r="F35" s="11"/>
      <c r="G35" s="11"/>
      <c r="H35" s="11"/>
      <c r="I35" s="11" t="str">
        <f>IF(AND(G9&lt;(-6),I33="",I34=""),"with 2yr Ophth exam","")</f>
        <v/>
      </c>
      <c r="J35" s="11"/>
      <c r="K35" s="11"/>
      <c r="L35" s="11"/>
      <c r="M35" s="11"/>
      <c r="N35" s="11"/>
      <c r="O35" s="11"/>
    </row>
    <row r="36" spans="1:15" x14ac:dyDescent="0.35">
      <c r="A36" s="11" t="str">
        <f>IF(AND(G9&gt;(5),A33="",A34="",A35=""),"with 2yr Ophth exam","")</f>
        <v/>
      </c>
      <c r="B36" s="11"/>
      <c r="C36" s="15"/>
      <c r="D36" s="11"/>
      <c r="E36" s="11"/>
      <c r="F36" s="11"/>
      <c r="G36" s="11"/>
      <c r="H36" s="11"/>
      <c r="I36" s="11" t="str">
        <f>IF(AND(G9&gt;(5),I33="",I34="",I35=""),"with 2yr Ophth exam","")</f>
        <v/>
      </c>
      <c r="J36" s="11"/>
      <c r="K36" s="11"/>
      <c r="L36" s="11"/>
      <c r="M36" s="11"/>
      <c r="N36" s="11"/>
      <c r="O36" s="11"/>
    </row>
    <row r="37" spans="1:15" x14ac:dyDescent="0.35">
      <c r="A37" s="11" t="str">
        <f>IF(ABS(I6)&gt;3,IF(AND(A33="",A34="",A35="",A36=""),"with 2yr ophth exam",""),"")</f>
        <v/>
      </c>
      <c r="B37" s="11"/>
      <c r="C37" s="15"/>
      <c r="D37" s="11"/>
      <c r="E37" s="11"/>
      <c r="F37" s="11"/>
      <c r="G37" s="11"/>
      <c r="H37" s="11"/>
      <c r="I37" s="11" t="str">
        <f>IF(ABS(I6)&gt;3,IF(AND(I33="",I34="",I35="",I36=""),"with 2yr ophth exam",""),"")</f>
        <v/>
      </c>
      <c r="J37" s="11"/>
      <c r="K37" s="11"/>
      <c r="L37" s="11"/>
      <c r="M37" s="11"/>
      <c r="N37" s="11"/>
      <c r="O37" s="11"/>
    </row>
    <row r="38" spans="1:15" x14ac:dyDescent="0.35">
      <c r="A38" s="15" t="str">
        <f>IF((ABS(D6)&gt;3),IF(AND(A33="",A34="",A35="",A36="",A37=""),"with 2yr ophth exam",""),"")</f>
        <v/>
      </c>
      <c r="B38" s="11"/>
      <c r="C38" s="15"/>
      <c r="D38" s="11"/>
      <c r="E38" s="11"/>
      <c r="F38" s="11"/>
      <c r="G38" s="11"/>
      <c r="H38" s="11"/>
      <c r="I38" s="15" t="str">
        <f>IF((ABS(D6)&gt;3),IF(AND(I33="",I34="",I35="",I36="",I37=""),"with 2yr ophth exam",""),"")</f>
        <v/>
      </c>
      <c r="J38" s="11"/>
      <c r="K38" s="11"/>
      <c r="L38" s="11"/>
      <c r="M38" s="11"/>
      <c r="N38" s="11"/>
      <c r="O38" s="11"/>
    </row>
    <row r="39" spans="1:15" x14ac:dyDescent="0.35">
      <c r="A39" s="15" t="str">
        <f>IF((ABS(D7)&gt;3),IF(AND(A33="",A34="",A35="",A36="",A37="",A38=""),"with 2yr ophth exam",""),"")</f>
        <v/>
      </c>
      <c r="B39" s="11"/>
      <c r="C39" s="15"/>
      <c r="D39" s="11"/>
      <c r="E39" s="11"/>
      <c r="F39" s="11"/>
      <c r="G39" s="11"/>
      <c r="H39" s="11"/>
      <c r="I39" s="15" t="str">
        <f>IF((ABS(D7)&gt;3),IF(AND(I33="",I34="",I35="",I36="",I37="",I38=""),"with 2yr ophth exam",""),"")</f>
        <v/>
      </c>
      <c r="J39" s="11"/>
      <c r="K39" s="11"/>
      <c r="L39" s="11"/>
      <c r="M39" s="11"/>
      <c r="N39" s="11"/>
      <c r="O39" s="11"/>
    </row>
    <row r="40" spans="1:15" x14ac:dyDescent="0.35">
      <c r="A40" s="15" t="str">
        <f>IF((G8&gt;-6.1),IF((G8&lt;-3),IF(AND(A33="",A34="",A35="",A36="",A37="",A38="",A39=""),"with 5yr ophth exam",""),""),"")</f>
        <v/>
      </c>
      <c r="B40" s="11"/>
      <c r="C40" s="15"/>
      <c r="D40" s="11"/>
      <c r="E40" s="11"/>
      <c r="F40" s="11"/>
      <c r="G40" s="11"/>
      <c r="H40" s="11"/>
      <c r="I40" s="15" t="str">
        <f>IF((G8&gt;-6.1),IF((G8&lt;-3),IF(AND(I33="",I34="",I35="",I36="",I37="",I38="",I39=""),"with 4yr ophth exam",""),""),"")</f>
        <v/>
      </c>
      <c r="J40" s="11"/>
      <c r="K40" s="11"/>
      <c r="L40" s="11"/>
      <c r="M40" s="11"/>
      <c r="N40" s="11"/>
      <c r="O40" s="11"/>
    </row>
    <row r="41" spans="1:15" x14ac:dyDescent="0.35">
      <c r="A41" s="11" t="str">
        <f>IF((G9&gt;-6.1),IF((G9&lt;-3),IF(AND(A33="",A34="",A35="",A36="",A37="",A38="",A39="",A40=""),"with 5yr ophth exam",""),""),"")</f>
        <v/>
      </c>
      <c r="B41" s="11"/>
      <c r="C41" s="15"/>
      <c r="D41" s="11"/>
      <c r="E41" s="11"/>
      <c r="F41" s="11"/>
      <c r="G41" s="11"/>
      <c r="H41" s="11"/>
      <c r="I41" s="11" t="str">
        <f>IF((G9&gt;-6.1),IF((G9&lt;-3),IF(AND(I33="",I34="",I35="",I36="",I37="",I38="",I39="",I40=""),"with 4yr ophth exam",""),""),"")</f>
        <v/>
      </c>
      <c r="J41" s="11"/>
      <c r="K41" s="11"/>
      <c r="L41" s="11"/>
      <c r="M41" s="11"/>
      <c r="N41" s="11"/>
      <c r="O41" s="11"/>
    </row>
    <row r="42" spans="1:15" x14ac:dyDescent="0.35">
      <c r="A42" s="11" t="str">
        <f>IF((G8&gt;3),IF((G8&lt;5.75),IF(AND(A33="",A34="",A35="",A36="",A37="",A38="",A39="",A40=""),"with 5yr ophth exam",""),""),"")</f>
        <v/>
      </c>
      <c r="B42" s="11"/>
      <c r="C42" s="15"/>
      <c r="D42" s="11"/>
      <c r="E42" s="11"/>
      <c r="F42" s="11"/>
      <c r="G42" s="11"/>
      <c r="H42" s="11"/>
      <c r="I42" s="11" t="str">
        <f>IF((G8&gt;3),IF((G8&lt;5.75),IF(AND(I33="",I34="",I35="",I36="",I37="",I38="",I39="",I40=""),"with 4yr ophth exam",""),""),"")</f>
        <v/>
      </c>
      <c r="J42" s="11"/>
      <c r="K42" s="11"/>
      <c r="L42" s="11"/>
      <c r="M42" s="11"/>
      <c r="N42" s="11"/>
      <c r="O42" s="11"/>
    </row>
    <row r="43" spans="1:15" x14ac:dyDescent="0.35">
      <c r="A43" s="11" t="str">
        <f>IF((G9&gt;3),IF((G9&lt;5.75),IF((A42=""),IF(AND(A33="",A34="",A35="",A36="",A37="",A38="",A39="",A40=""),"with 5yr ophth exam",""),""),""),"")</f>
        <v/>
      </c>
      <c r="B43" s="11"/>
      <c r="C43" s="15"/>
      <c r="D43" s="11"/>
      <c r="E43" s="11"/>
      <c r="F43" s="11"/>
      <c r="G43" s="11"/>
      <c r="H43" s="11"/>
      <c r="I43" s="11" t="str">
        <f>IF((G9&gt;3),IF((G9&lt;5.75),IF((I42=""),IF(AND(I33="",I34="",I35="",I36="",I37="",I38="",I39="",I40=""),"with 4yr ophth exam",""),""),""),"")</f>
        <v/>
      </c>
      <c r="J43" s="11"/>
      <c r="K43" s="11"/>
      <c r="L43" s="11"/>
      <c r="M43" s="11"/>
      <c r="N43" s="11"/>
      <c r="O43" s="11"/>
    </row>
    <row r="44" spans="1:15" x14ac:dyDescent="0.35">
      <c r="A44" s="11"/>
      <c r="B44" s="11"/>
      <c r="C44" s="15"/>
      <c r="D44" s="11"/>
      <c r="E44" s="11"/>
      <c r="F44" s="11"/>
      <c r="G44" s="11"/>
      <c r="H44" s="11"/>
      <c r="I44" s="11" t="str">
        <f>IF(NOT(AND(I34="",I36="")),"requires ophth evaluation","")</f>
        <v/>
      </c>
      <c r="J44" s="11"/>
      <c r="K44" s="11"/>
      <c r="L44" s="11"/>
      <c r="M44" s="11"/>
      <c r="N44" s="11"/>
      <c r="O44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6CECC-3965-4305-94E1-D91030C602AA}">
  <dimension ref="A1:J19"/>
  <sheetViews>
    <sheetView tabSelected="1" workbookViewId="0">
      <selection activeCell="C9" sqref="C9"/>
    </sheetView>
  </sheetViews>
  <sheetFormatPr defaultRowHeight="14.5" x14ac:dyDescent="0.35"/>
  <cols>
    <col min="3" max="3" width="5.54296875" customWidth="1"/>
    <col min="5" max="5" width="6" customWidth="1"/>
    <col min="6" max="6" width="5.90625" customWidth="1"/>
    <col min="8" max="8" width="6.36328125" customWidth="1"/>
    <col min="9" max="9" width="9.90625" customWidth="1"/>
    <col min="10" max="10" width="6.453125" customWidth="1"/>
  </cols>
  <sheetData>
    <row r="1" spans="1:10" ht="15.5" x14ac:dyDescent="0.35">
      <c r="A1" s="10" t="s">
        <v>15</v>
      </c>
      <c r="B1" s="1"/>
      <c r="C1" s="1"/>
      <c r="D1" s="1"/>
      <c r="E1" s="1"/>
      <c r="F1" s="1"/>
      <c r="G1" s="1"/>
      <c r="H1" s="1"/>
      <c r="I1" s="1"/>
      <c r="J1" s="9"/>
    </row>
    <row r="2" spans="1:10" x14ac:dyDescent="0.35">
      <c r="A2" s="5"/>
      <c r="B2" s="5" t="s">
        <v>16</v>
      </c>
      <c r="C2" s="1"/>
      <c r="D2" s="1"/>
      <c r="E2" s="1"/>
      <c r="F2" s="1"/>
      <c r="G2" s="1"/>
      <c r="H2" s="1"/>
      <c r="I2" s="1"/>
      <c r="J2" s="9"/>
    </row>
    <row r="3" spans="1:10" x14ac:dyDescent="0.35">
      <c r="A3" s="5"/>
      <c r="B3" s="5" t="s">
        <v>14</v>
      </c>
      <c r="C3" s="1"/>
      <c r="D3" s="1"/>
      <c r="E3" s="1"/>
      <c r="F3" s="1"/>
      <c r="G3" s="1"/>
      <c r="H3" s="1"/>
      <c r="I3" s="1"/>
      <c r="J3" s="9"/>
    </row>
    <row r="4" spans="1:10" x14ac:dyDescent="0.35">
      <c r="A4" s="5"/>
      <c r="B4" s="5"/>
      <c r="C4" s="1"/>
      <c r="D4" s="1"/>
      <c r="E4" s="1"/>
      <c r="F4" s="1"/>
      <c r="G4" s="1"/>
      <c r="H4" s="1"/>
      <c r="I4" s="1"/>
      <c r="J4" s="9"/>
    </row>
    <row r="5" spans="1:10" x14ac:dyDescent="0.35">
      <c r="A5" s="1"/>
      <c r="B5" s="1"/>
      <c r="C5" s="1" t="s">
        <v>10</v>
      </c>
      <c r="D5" s="1"/>
      <c r="E5" s="6"/>
      <c r="F5" s="1"/>
      <c r="G5" s="8"/>
      <c r="H5" s="6"/>
      <c r="I5" s="1"/>
      <c r="J5" s="9"/>
    </row>
    <row r="6" spans="1:10" x14ac:dyDescent="0.35">
      <c r="A6" s="1" t="s">
        <v>7</v>
      </c>
      <c r="B6" s="1"/>
      <c r="C6" s="7"/>
      <c r="D6" s="1"/>
      <c r="E6" s="6"/>
      <c r="F6" s="1"/>
      <c r="G6" s="3"/>
      <c r="H6" s="1"/>
      <c r="I6" s="1"/>
      <c r="J6" s="9"/>
    </row>
    <row r="7" spans="1:10" x14ac:dyDescent="0.35">
      <c r="A7" s="1"/>
      <c r="B7" s="1"/>
      <c r="C7" s="1"/>
      <c r="D7" s="1"/>
      <c r="E7" s="1"/>
      <c r="F7" s="1"/>
      <c r="G7" s="1"/>
      <c r="H7" s="1"/>
      <c r="I7" s="1"/>
      <c r="J7" s="9"/>
    </row>
    <row r="8" spans="1:10" x14ac:dyDescent="0.35">
      <c r="A8" s="1" t="s">
        <v>0</v>
      </c>
      <c r="B8" s="1"/>
      <c r="C8" s="1"/>
      <c r="D8" s="1" t="s">
        <v>5</v>
      </c>
      <c r="E8" s="1"/>
      <c r="F8" s="1"/>
      <c r="G8" s="1" t="s">
        <v>6</v>
      </c>
      <c r="H8" s="1"/>
      <c r="I8" s="1"/>
      <c r="J8" s="9"/>
    </row>
    <row r="9" spans="1:10" x14ac:dyDescent="0.35">
      <c r="A9" s="1" t="s">
        <v>1</v>
      </c>
      <c r="B9" s="2" t="s">
        <v>4</v>
      </c>
      <c r="C9" s="4"/>
      <c r="D9" s="1"/>
      <c r="E9" s="3"/>
      <c r="F9" s="1"/>
      <c r="G9" s="1"/>
      <c r="H9" s="3"/>
      <c r="I9" s="1"/>
      <c r="J9" s="9"/>
    </row>
    <row r="10" spans="1:10" x14ac:dyDescent="0.35">
      <c r="A10" s="1" t="s">
        <v>2</v>
      </c>
      <c r="B10" s="2" t="s">
        <v>4</v>
      </c>
      <c r="C10" s="4"/>
      <c r="D10" s="1"/>
      <c r="E10" s="3"/>
      <c r="F10" s="1"/>
      <c r="G10" s="1"/>
      <c r="H10" s="3"/>
      <c r="I10" s="1"/>
      <c r="J10" s="9"/>
    </row>
    <row r="11" spans="1:10" x14ac:dyDescent="0.35">
      <c r="A11" s="1" t="s">
        <v>3</v>
      </c>
      <c r="B11" s="2" t="s">
        <v>4</v>
      </c>
      <c r="C11" s="4"/>
      <c r="D11" s="1"/>
      <c r="E11" s="3"/>
      <c r="F11" s="1"/>
      <c r="G11" s="1"/>
      <c r="H11" s="3"/>
      <c r="I11" s="1"/>
      <c r="J11" s="9"/>
    </row>
    <row r="12" spans="1:10" x14ac:dyDescent="0.35">
      <c r="A12" s="1"/>
      <c r="B12" s="1"/>
      <c r="C12" s="1"/>
      <c r="D12" s="1"/>
      <c r="E12" s="1"/>
      <c r="F12" s="1"/>
      <c r="G12" s="1"/>
      <c r="H12" s="1"/>
      <c r="I12" s="1"/>
      <c r="J12" s="9"/>
    </row>
    <row r="13" spans="1:10" x14ac:dyDescent="0.35">
      <c r="A13" s="5" t="s">
        <v>11</v>
      </c>
      <c r="B13" s="1"/>
      <c r="C13" s="1"/>
      <c r="D13" s="5" t="s">
        <v>12</v>
      </c>
      <c r="E13" s="1"/>
      <c r="F13" s="1"/>
      <c r="G13" s="5" t="s">
        <v>13</v>
      </c>
      <c r="H13" s="1"/>
      <c r="I13" s="1"/>
      <c r="J13" s="9"/>
    </row>
    <row r="14" spans="1:10" x14ac:dyDescent="0.35">
      <c r="A14" s="1" t="str">
        <f>IF(AND(A15="")*(A16="")*(A17="")*(A18=""),"None","")</f>
        <v>None</v>
      </c>
      <c r="B14" s="1"/>
      <c r="C14" s="1"/>
      <c r="D14" s="1" t="str">
        <f>IF(AND(D15="")*(D16="")*(D17="")*(D18=""),"None","")</f>
        <v>None</v>
      </c>
      <c r="E14" s="1"/>
      <c r="F14" s="1"/>
      <c r="G14" s="1" t="str">
        <f>IF(AND(G15="")*(G16="")*(G17="")*(G18=""),"None","")</f>
        <v>None</v>
      </c>
      <c r="H14" s="1"/>
      <c r="I14" s="1"/>
    </row>
    <row r="15" spans="1:10" x14ac:dyDescent="0.35">
      <c r="A15" s="1" t="str">
        <f>IF(OR(G6="No",G6=""),IF((OR(C9&gt;9,C10&gt;9,C11&gt;6)),"VDL",""),"")</f>
        <v/>
      </c>
      <c r="B15" s="1"/>
      <c r="C15" s="1"/>
      <c r="D15" s="1" t="str">
        <f>IF(OR(G6="No",G6=""),IF((OR(C9&gt;12,C10&gt;12,C11&gt;9)),"VDL",""),"")</f>
        <v/>
      </c>
      <c r="E15" s="1"/>
      <c r="F15" s="1"/>
      <c r="G15" s="1" t="str">
        <f>IF(OR(G6="No",G6=""),IF((OR(C9&gt;9,C10&gt;9,C11&gt;6)),IF((AND(E9="Yes",E10="Yes",E11="Yes",H9="Yes",H10="Yes",H11="Yes")),"VXL","VDL"),""),"")</f>
        <v/>
      </c>
      <c r="H15" s="1"/>
      <c r="I15" s="1"/>
    </row>
    <row r="16" spans="1:10" x14ac:dyDescent="0.35">
      <c r="A16" s="1" t="str">
        <f>IF((G6="Yes"),IF((OR(C9&gt;9,C10&gt;9,C11&gt;6)),"VML",""),"")</f>
        <v/>
      </c>
      <c r="B16" s="1"/>
      <c r="C16" s="1"/>
      <c r="D16" s="1" t="str">
        <f>IF((G6="Yes"),IF((OR(C9&gt;12,C10&gt;12,C11&gt;9)),"VML",""),"")</f>
        <v/>
      </c>
      <c r="E16" s="1"/>
      <c r="F16" s="1"/>
      <c r="G16" s="1" t="str">
        <f>IF((G6="Yes"),IF((OR(C9&gt;9,C10&gt;9,C11&gt;6)),"VML",""),"")</f>
        <v/>
      </c>
      <c r="H16" s="1"/>
      <c r="I16" s="1"/>
    </row>
    <row r="17" spans="1:9" x14ac:dyDescent="0.35">
      <c r="A17" s="1" t="str">
        <f>IF(OR(E11="No",H11="No"),IF((AND(C9&lt;9.1,C10&lt;9.1,C11&lt;6.1)),"VNL",""),"")</f>
        <v/>
      </c>
      <c r="B17" s="1"/>
      <c r="C17" s="1"/>
      <c r="D17" s="1" t="str">
        <f>IF(OR(E11="No",H11="No"),IF((AND(C9&lt;12.1,C10&lt;12.1,C11&lt;9.1)),"VNL",""),"")</f>
        <v/>
      </c>
      <c r="E17" s="1"/>
      <c r="F17" s="1"/>
      <c r="G17" s="1" t="str">
        <f>IF(OR(E11="No",H11="No"),IF((AND(C9&lt;9.1,C10&lt;9.1,C11&lt;6.1)),"VNL",""),"")</f>
        <v/>
      </c>
      <c r="H17" s="1"/>
      <c r="I17" s="1"/>
    </row>
    <row r="18" spans="1:9" x14ac:dyDescent="0.35">
      <c r="A18" s="1" t="str">
        <f>IF(AND(G6="Yes",G5="Yes"),IF((OR(C9&gt;9,C10&gt;9,C11&gt;6)),"and VNL",""),"")</f>
        <v/>
      </c>
      <c r="B18" s="1"/>
      <c r="C18" s="1"/>
      <c r="D18" s="1" t="str">
        <f>IF(AND(G6="Yes",G5="Yes"),IF((OR(C9&gt;12,C10&gt;12,C11&gt;9)),"and VNL",""),"")</f>
        <v/>
      </c>
      <c r="E18" s="1"/>
      <c r="F18" s="1"/>
      <c r="G18" s="1" t="str">
        <f>IF(AND(G6="Yes",G5="Yes"),IF((OR(C9&gt;9,C10&gt;9,C11&gt;6)),"and VNL",""),"")</f>
        <v/>
      </c>
      <c r="H18" s="1"/>
      <c r="I18" s="1"/>
    </row>
    <row r="19" spans="1:9" x14ac:dyDescent="0.35">
      <c r="A19" s="1"/>
      <c r="B19" s="1"/>
      <c r="C19" s="1"/>
      <c r="D19" s="1"/>
      <c r="E19" s="1"/>
      <c r="F19" s="1"/>
      <c r="G19" s="1" t="str">
        <f>IF((G6="Yes"),IF((OR(C9&gt;9,C10&gt;9,C11&gt;6)),IF((AND(E9="Yes",E10="Yes",E11="Yes",H11="No")),"or VXN instead of VML",""),""),"")</f>
        <v/>
      </c>
      <c r="H19" s="1"/>
      <c r="I19" s="1"/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select" xr:uid="{13F8CAEF-D2E8-472F-9E60-CBA17A5639F9}">
          <x14:formula1>
            <xm:f>Sheet2!$B$1:$B$2</xm:f>
          </x14:formula1>
          <xm:sqref>G6</xm:sqref>
        </x14:dataValidation>
        <x14:dataValidation type="list" allowBlank="1" showInputMessage="1" showErrorMessage="1" xr:uid="{5EBBC919-3153-4524-856B-35D3012ABE15}">
          <x14:formula1>
            <xm:f>Sheet2!$B$1:$B$2</xm:f>
          </x14:formula1>
          <xm:sqref>E9:E11 H9:H11 G5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EB7B3-A2E6-4AB9-B81D-97B89FB97A13}">
  <dimension ref="A1:B3"/>
  <sheetViews>
    <sheetView workbookViewId="0">
      <selection activeCell="B2" sqref="B2"/>
    </sheetView>
  </sheetViews>
  <sheetFormatPr defaultRowHeight="14.5" x14ac:dyDescent="0.35"/>
  <sheetData>
    <row r="1" spans="1:2" x14ac:dyDescent="0.35">
      <c r="A1">
        <v>1</v>
      </c>
      <c r="B1" t="s">
        <v>8</v>
      </c>
    </row>
    <row r="2" spans="1:2" x14ac:dyDescent="0.35">
      <c r="A2">
        <v>2</v>
      </c>
      <c r="B2" t="s">
        <v>9</v>
      </c>
    </row>
    <row r="3" spans="1:2" x14ac:dyDescent="0.35">
      <c r="A3">
        <v>3</v>
      </c>
    </row>
  </sheetData>
  <dataValidations xWindow="280" yWindow="226" count="2">
    <dataValidation type="whole" allowBlank="1" showInputMessage="1" showErrorMessage="1" sqref="A1:A3" xr:uid="{83BE03E2-AF2E-4A60-8AE1-9606B6652DF1}">
      <formula1>1</formula1>
      <formula2>3</formula2>
    </dataValidation>
    <dataValidation type="list" allowBlank="1" showInputMessage="1" showErrorMessage="1" errorTitle="Invalid Entry" error="Please select from the list" promptTitle="Class of medical" prompt="Please select" sqref="C1" xr:uid="{8373C172-FAE2-49DA-8D1D-5563D6B94609}">
      <formula1>$A$1:$A$3</formula1>
    </dataValidation>
  </dataValidations>
  <pageMargins left="0.7" right="0.7" top="0.75" bottom="0.75" header="0.3" footer="0.3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32b1b85a-9065-498a-a715-2e842cb76486" ContentTypeId="0x010100026BFE6A34D44FF09C8C098CCC1B744C00787C3FD63DC44D5FADF93E45EAF80832" PreviousValue="false" LastSyncTimeStamp="2021-11-10T11:46:47.85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olicy Development Document" ma:contentTypeID="0x010100026BFE6A34D44FF09C8C098CCC1B744C00787C3FD63DC44D5FADF93E45EAF808320019CE9C34413166409E89F3ECD886D6FF" ma:contentTypeVersion="4" ma:contentTypeDescription="Create a new document." ma:contentTypeScope="" ma:versionID="478dcdba6339beb5b0f9837179904adc">
  <xsd:schema xmlns:xsd="http://www.w3.org/2001/XMLSchema" xmlns:xs="http://www.w3.org/2001/XMLSchema" xmlns:p="http://schemas.microsoft.com/office/2006/metadata/properties" xmlns:ns2="c1debafb-c7f4-4e33-b493-0af2257c059c" targetNamespace="http://schemas.microsoft.com/office/2006/metadata/properties" ma:root="true" ma:fieldsID="0488212a25bb7ca4f64cb27b3d4ef063" ns2:_="">
    <xsd:import namespace="c1debafb-c7f4-4e33-b493-0af2257c059c"/>
    <xsd:element name="properties">
      <xsd:complexType>
        <xsd:sequence>
          <xsd:element name="documentManagement">
            <xsd:complexType>
              <xsd:all>
                <xsd:element ref="ns2:obd7f88e7c304967bb7efaedae455aad" minOccurs="0"/>
                <xsd:element ref="ns2:TaxCatchAll" minOccurs="0"/>
                <xsd:element ref="ns2:TaxCatchAllLabel" minOccurs="0"/>
                <xsd:element ref="ns2:md537954de5d4799b31f8b38caab65fb" minOccurs="0"/>
                <xsd:element ref="ns2:c0579850fabd4de2a8282f228563db3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ebafb-c7f4-4e33-b493-0af2257c059c" elementFormDefault="qualified">
    <xsd:import namespace="http://schemas.microsoft.com/office/2006/documentManagement/types"/>
    <xsd:import namespace="http://schemas.microsoft.com/office/infopath/2007/PartnerControls"/>
    <xsd:element name="obd7f88e7c304967bb7efaedae455aad" ma:index="8" ma:taxonomy="true" ma:internalName="obd7f88e7c304967bb7efaedae455aad" ma:taxonomyFieldName="CAAContentGroup" ma:displayName="Content Group" ma:fieldId="{8bd7f88e-7c30-4967-bb7e-faedae455aad}" ma:sspId="32b1b85a-9065-498a-a715-2e842cb76486" ma:termSetId="078a1673-67d9-42ad-9a0e-7f45c535ee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89b2648a-559a-4330-9cbd-1e6a45797188}" ma:internalName="TaxCatchAll" ma:showField="CatchAllData" ma:web="cebb8474-3529-41f9-8be5-d2a1c51896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9b2648a-559a-4330-9cbd-1e6a45797188}" ma:internalName="TaxCatchAllLabel" ma:readOnly="true" ma:showField="CatchAllDataLabel" ma:web="cebb8474-3529-41f9-8be5-d2a1c51896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d537954de5d4799b31f8b38caab65fb" ma:index="12" ma:taxonomy="true" ma:internalName="md537954de5d4799b31f8b38caab65fb" ma:taxonomyFieldName="CAABusinessFunctions" ma:displayName="Business Functions" ma:fieldId="{6d537954-de5d-4799-b31f-8b38caab65fb}" ma:taxonomyMulti="true" ma:sspId="32b1b85a-9065-498a-a715-2e842cb76486" ma:termSetId="cf28a2d6-8bcd-450b-a49a-65779e58c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579850fabd4de2a8282f228563db32" ma:index="14" ma:taxonomy="true" ma:internalName="c0579850fabd4de2a8282f228563db32" ma:taxonomyFieldName="CAADepartments" ma:displayName="Departments" ma:fieldId="{c0579850-fabd-4de2-a828-2f228563db32}" ma:taxonomyMulti="true" ma:sspId="32b1b85a-9065-498a-a715-2e842cb76486" ma:termSetId="059fbec2-a57e-4088-9445-44d85639509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537954de5d4799b31f8b38caab65fb xmlns="c1debafb-c7f4-4e33-b493-0af2257c05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Certification and Approval</TermName>
          <TermId xmlns="http://schemas.microsoft.com/office/infopath/2007/PartnerControls">e7134483-fa3f-4954-982e-4ed779ac63c9</TermId>
        </TermInfo>
      </Terms>
    </md537954de5d4799b31f8b38caab65fb>
    <c0579850fabd4de2a8282f228563db32 xmlns="c1debafb-c7f4-4e33-b493-0af2257c05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Medical</TermName>
          <TermId xmlns="http://schemas.microsoft.com/office/infopath/2007/PartnerControls">c05b65bf-f3cf-4012-ab27-83385ea12182</TermId>
        </TermInfo>
      </Terms>
    </c0579850fabd4de2a8282f228563db32>
    <TaxCatchAll xmlns="c1debafb-c7f4-4e33-b493-0af2257c059c">
      <Value>9</Value>
      <Value>1</Value>
      <Value>2</Value>
    </TaxCatchAll>
    <obd7f88e7c304967bb7efaedae455aad xmlns="c1debafb-c7f4-4e33-b493-0af2257c05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Development</TermName>
          <TermId xmlns="http://schemas.microsoft.com/office/infopath/2007/PartnerControls">d953f7ed-215f-446f-9e0f-acb085feb58b</TermId>
        </TermInfo>
      </Terms>
    </obd7f88e7c304967bb7efaedae455aad>
  </documentManagement>
</p:properties>
</file>

<file path=customXml/itemProps1.xml><?xml version="1.0" encoding="utf-8"?>
<ds:datastoreItem xmlns:ds="http://schemas.openxmlformats.org/officeDocument/2006/customXml" ds:itemID="{21BE8984-2C6E-4297-BE1A-8CF92AB60F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120679-5F9A-4CA9-88B1-5125433F750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9EFE780-F3AF-4D40-804A-2500C9BA36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debafb-c7f4-4e33-b493-0af2257c0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77BD8FE-C0BC-474B-8172-DFAF15F15F80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c1debafb-c7f4-4e33-b493-0af2257c05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1 prescription calc</vt:lpstr>
      <vt:lpstr>Part 2 vision limitation calc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Chorley</dc:creator>
  <cp:lastModifiedBy>Peta Johnson</cp:lastModifiedBy>
  <dcterms:created xsi:type="dcterms:W3CDTF">2024-03-05T09:11:19Z</dcterms:created>
  <dcterms:modified xsi:type="dcterms:W3CDTF">2024-09-13T12:06:26Z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2024-03-05T09:40:53Z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f76e4d4a-4845-45ae-b122-f2cbe76296f4</vt:lpwstr>
  </property>
  <property fmtid="{D5CDD505-2E9C-101B-9397-08002B2CF9AE}" pid="8" name="MSIP_Label_1e6039e1-a83a-4485-9581-62128b86c05c_ContentBits">
    <vt:lpwstr>3</vt:lpwstr>
  </property>
  <property fmtid="{D5CDD505-2E9C-101B-9397-08002B2CF9AE}" pid="9" name="ContentTypeId">
    <vt:lpwstr>0x010100026BFE6A34D44FF09C8C098CCC1B744C00787C3FD63DC44D5FADF93E45EAF808320019CE9C34413166409E89F3ECD886D6FF</vt:lpwstr>
  </property>
  <property fmtid="{D5CDD505-2E9C-101B-9397-08002B2CF9AE}" pid="10" name="CAAContentGroup">
    <vt:lpwstr>9;#Policy Development|d953f7ed-215f-446f-9e0f-acb085feb58b</vt:lpwstr>
  </property>
  <property fmtid="{D5CDD505-2E9C-101B-9397-08002B2CF9AE}" pid="11" name="CAADepartments">
    <vt:lpwstr>2;#Medical|c05b65bf-f3cf-4012-ab27-83385ea12182</vt:lpwstr>
  </property>
  <property fmtid="{D5CDD505-2E9C-101B-9397-08002B2CF9AE}" pid="12" name="CAABusinessFunctions">
    <vt:lpwstr>1;#Certification and Approval|e7134483-fa3f-4954-982e-4ed779ac63c9</vt:lpwstr>
  </property>
</Properties>
</file>